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53222"/>
  <mc:AlternateContent xmlns:mc="http://schemas.openxmlformats.org/markup-compatibility/2006">
    <mc:Choice Requires="x15">
      <x15ac:absPath xmlns:x15ac="http://schemas.microsoft.com/office/spreadsheetml/2010/11/ac" url="P:\IND_130I\BSQI217\Pomiculture\Mise en marché 2019\Tableau web\"/>
    </mc:Choice>
  </mc:AlternateContent>
  <bookViews>
    <workbookView xWindow="-15" yWindow="-15" windowWidth="19170" windowHeight="5955"/>
  </bookViews>
  <sheets>
    <sheet name="Feuil1" sheetId="1" r:id="rId1"/>
  </sheets>
  <calcPr calcId="152511"/>
</workbook>
</file>

<file path=xl/calcChain.xml><?xml version="1.0" encoding="utf-8"?>
<calcChain xmlns="http://schemas.openxmlformats.org/spreadsheetml/2006/main">
  <c r="E38" i="1" l="1"/>
  <c r="M37" i="1"/>
  <c r="K37" i="1"/>
  <c r="I37" i="1"/>
  <c r="G37" i="1"/>
  <c r="E37" i="1"/>
  <c r="M36" i="1"/>
  <c r="K36" i="1"/>
  <c r="I36" i="1"/>
  <c r="G36" i="1"/>
  <c r="E36" i="1"/>
  <c r="M31" i="1"/>
  <c r="K31" i="1"/>
  <c r="I31" i="1"/>
  <c r="G31" i="1"/>
  <c r="E31" i="1"/>
  <c r="M30" i="1"/>
  <c r="K30" i="1"/>
  <c r="I30" i="1"/>
  <c r="G30" i="1"/>
  <c r="E30" i="1"/>
  <c r="K25" i="1"/>
  <c r="I25" i="1"/>
  <c r="G25" i="1"/>
  <c r="E25" i="1"/>
  <c r="M20" i="1" l="1"/>
  <c r="K20" i="1"/>
  <c r="I20" i="1"/>
  <c r="G20" i="1"/>
  <c r="E20" i="1"/>
  <c r="M15" i="1"/>
  <c r="K15" i="1"/>
  <c r="I15" i="1"/>
  <c r="G15" i="1"/>
  <c r="E15" i="1"/>
  <c r="M14" i="1"/>
  <c r="K14" i="1"/>
  <c r="I14" i="1"/>
  <c r="G14" i="1"/>
  <c r="E14" i="1"/>
</calcChain>
</file>

<file path=xl/sharedStrings.xml><?xml version="1.0" encoding="utf-8"?>
<sst xmlns="http://schemas.openxmlformats.org/spreadsheetml/2006/main" count="105" uniqueCount="48">
  <si>
    <t>Unité</t>
  </si>
  <si>
    <t>Montérégie I</t>
  </si>
  <si>
    <t>Estrie</t>
  </si>
  <si>
    <t>Ailleurs au Québec</t>
  </si>
  <si>
    <t>Superficie des vergers</t>
  </si>
  <si>
    <t>ha</t>
  </si>
  <si>
    <t>Pommiers</t>
  </si>
  <si>
    <t>Productifs</t>
  </si>
  <si>
    <t>Toutes variétés</t>
  </si>
  <si>
    <t>Production totale (récolte)</t>
  </si>
  <si>
    <t>t</t>
  </si>
  <si>
    <t>Valeur des ventes</t>
  </si>
  <si>
    <t>Prix de vente moyen</t>
  </si>
  <si>
    <t>$/t</t>
  </si>
  <si>
    <t>Mise en marché</t>
  </si>
  <si>
    <t>*</t>
  </si>
  <si>
    <t>**</t>
  </si>
  <si>
    <t>Production (récolte)</t>
  </si>
  <si>
    <t>Prix moyen</t>
  </si>
  <si>
    <t>Source : Institut de la statistique du Québec.</t>
  </si>
  <si>
    <r>
      <t>Région pomicole</t>
    </r>
    <r>
      <rPr>
        <vertAlign val="superscript"/>
        <sz val="7.5"/>
        <rFont val="Helvetica"/>
        <family val="2"/>
      </rPr>
      <t>1</t>
    </r>
  </si>
  <si>
    <r>
      <t>Nombre d'exploitations</t>
    </r>
    <r>
      <rPr>
        <b/>
        <vertAlign val="superscript"/>
        <sz val="7.5"/>
        <rFont val="Helvetica"/>
        <family val="2"/>
      </rPr>
      <t>2</t>
    </r>
  </si>
  <si>
    <t>n</t>
  </si>
  <si>
    <r>
      <t>Mise en marché</t>
    </r>
    <r>
      <rPr>
        <vertAlign val="superscript"/>
        <sz val="7.5"/>
        <rFont val="Helvetica"/>
        <family val="2"/>
      </rPr>
      <t>3</t>
    </r>
  </si>
  <si>
    <r>
      <t>Pommes fraîches</t>
    </r>
    <r>
      <rPr>
        <b/>
        <vertAlign val="superscript"/>
        <sz val="7.5"/>
        <rFont val="Helvetica"/>
        <family val="2"/>
      </rPr>
      <t>4</t>
    </r>
  </si>
  <si>
    <r>
      <t>Pommes de transformation</t>
    </r>
    <r>
      <rPr>
        <b/>
        <vertAlign val="superscript"/>
        <sz val="7.5"/>
        <rFont val="Helvetica"/>
        <family val="2"/>
      </rPr>
      <t>5</t>
    </r>
  </si>
  <si>
    <t>3.  L'écart entre le volume de la production et le volume de mise en marché correspond aux pertes et à la quantité consommée par le producteur.</t>
  </si>
  <si>
    <t>5.  Font référence à la vente de pommes aux transformateurs et aux commerçants de pommes à jus.</t>
  </si>
  <si>
    <t>Variétés hâtives</t>
  </si>
  <si>
    <t>Variétés tardives</t>
  </si>
  <si>
    <t>k</t>
  </si>
  <si>
    <t>k$</t>
  </si>
  <si>
    <t xml:space="preserve"> </t>
  </si>
  <si>
    <t>Production et mise en marché de la pomme, par région pomicole, Québec, récolte 2019</t>
  </si>
  <si>
    <t xml:space="preserve">     Estrie correspond à la région administrative de l'Estrie à laquelle s'ajoute la MRC de Brome-Missisquoi.</t>
  </si>
  <si>
    <t>Montréal-Laval-Laurentides-Outaouais</t>
  </si>
  <si>
    <t>Non productifs</t>
  </si>
  <si>
    <t>Ensemble du Québec</t>
  </si>
  <si>
    <t xml:space="preserve">**  Coefficient de variation supérieur à 25 %; estimation imprécise fournie à titre indicatif seulement. </t>
  </si>
  <si>
    <t>Montérégie II</t>
  </si>
  <si>
    <t>1.  Montréal-Laval-Laurentides-Outaouais correspond aux régions administratives de Montréal, de Laval, des Laurentides et de l'Outaouais.</t>
  </si>
  <si>
    <t xml:space="preserve">     Montérégie I comprend les MRC suivantes : Longueuil, Roussillon, Les Jardins-de-Napierville, Le Haut-Saint-Laurent, Beauharnois-Salaberry et Vaudreuil-Soulanges.</t>
  </si>
  <si>
    <t xml:space="preserve">     Montérégie II comprend les MRC suivantes : La Haute-Yamaska, Acton, Pierre-De Saurel, Les Maskoutains, Rouville, Le Haut-Richelieu, La Vallée-du-Richelieu, Lajemmerais et la région administrative du Centre-du-Québec.</t>
  </si>
  <si>
    <t xml:space="preserve">     Ailleurs au Québec correspond principalement aux régions administratives de la Capitale-Nationale, de la Mauricie et de la Chaudière-Appalaches. Quelques vergers sont également signalés dans les régions administratives du Bas-Saint-Laurent, du Saguenay–Lac-Saint-Jean, de l'Abitibi-Témiscamingue, de la Gaspésie–Îles-de-la-Madeleine et de Lanaudière.</t>
  </si>
  <si>
    <t xml:space="preserve">2.  Fait référence aux exploitations ayant produit et récolté des pommes pour la vente ou pour l'utilisation personnelle. Une exploitation peut regrouper plus d'un verger. Sauf exception, un minimum de 50 arbres est considéré comme nécessaire pour la production commerciale de pommes. </t>
  </si>
  <si>
    <t xml:space="preserve">4.  Font référence à la vente de pommes aux emballeurs, aux grossistes et aux détaillants ainsi qu'aux ventes directes du producteur au consommateur par le truchement de l'autocueillette, des kiosques au bord de la route et des marchés publics. Prendre note qu'une partie du volume de pommes vendu aux emballeurs est acheminée vers la transformation après classement. </t>
  </si>
  <si>
    <t xml:space="preserve">Note : En raison de l'arrondissement des données, la sommation calculée peut différer de la donnée inscrite. </t>
  </si>
  <si>
    <t xml:space="preserve">*   Coefficient de variation entre 15 % et 25 %; estimation à interpréter avec prudence.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</si>
</sst>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_ ;_ * \(#,##0.00\)\ _$_ ;_ * &quot;-&quot;??_)\ _$_ ;_ @_ "/>
    <numFmt numFmtId="164" formatCode="\ #,###.0,"/>
    <numFmt numFmtId="165" formatCode="_-* #,##0.0\ _$_-;\-* #,##0.0\ _$_-;_-* &quot;-&quot;??\ _$_-;_-@_-"/>
    <numFmt numFmtId="166" formatCode="_-* #,##0.00\ _$_-;\-* #,##0.00\ _$_-;_-* &quot;-&quot;??\ _$_-;_-@_-"/>
    <numFmt numFmtId="167" formatCode="0.000"/>
    <numFmt numFmtId="168" formatCode="#,##0.0"/>
  </numFmts>
  <fonts count="18" x14ac:knownFonts="1">
    <font>
      <sz val="10"/>
      <name val="Arial"/>
    </font>
    <font>
      <sz val="10"/>
      <name val="Arial"/>
      <family val="2"/>
    </font>
    <font>
      <sz val="7.5"/>
      <name val="Helvetica"/>
      <family val="2"/>
    </font>
    <font>
      <b/>
      <sz val="11"/>
      <name val="Helvetica"/>
      <family val="2"/>
    </font>
    <font>
      <b/>
      <sz val="7.5"/>
      <name val="Helvetica"/>
      <family val="2"/>
    </font>
    <font>
      <sz val="7.5"/>
      <name val="Helvetica"/>
    </font>
    <font>
      <vertAlign val="superscript"/>
      <sz val="7.5"/>
      <name val="Helvetica"/>
    </font>
    <font>
      <sz val="8"/>
      <name val="Helvetica"/>
    </font>
    <font>
      <b/>
      <vertAlign val="superscript"/>
      <sz val="7.5"/>
      <name val="Helvetica"/>
      <family val="2"/>
    </font>
    <font>
      <vertAlign val="superscript"/>
      <sz val="7.5"/>
      <name val="Helvetica"/>
      <family val="2"/>
    </font>
    <font>
      <sz val="10"/>
      <name val="Arial"/>
      <family val="2"/>
    </font>
    <font>
      <sz val="8"/>
      <name val="Helvetica"/>
      <family val="2"/>
    </font>
    <font>
      <sz val="8"/>
      <color indexed="10"/>
      <name val="Helvetica"/>
    </font>
    <font>
      <sz val="8"/>
      <color theme="1"/>
      <name val="Helvetica"/>
    </font>
    <font>
      <sz val="7.5"/>
      <color theme="1"/>
      <name val="Helvetica"/>
      <family val="2"/>
    </font>
    <font>
      <sz val="7.5"/>
      <color theme="1"/>
      <name val="Helvetica"/>
    </font>
    <font>
      <sz val="7.5"/>
      <color rgb="FFFF0000"/>
      <name val="Helvetica"/>
    </font>
    <font>
      <strike/>
      <sz val="7.5"/>
      <color rgb="FFFF0000"/>
      <name val="Helvetica"/>
      <family val="2"/>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8">
    <xf numFmtId="0" fontId="0" fillId="0" borderId="0" xfId="0"/>
    <xf numFmtId="0" fontId="2" fillId="0" borderId="0" xfId="0" applyFont="1"/>
    <xf numFmtId="0" fontId="2" fillId="0" borderId="0" xfId="0" applyFont="1" applyFill="1"/>
    <xf numFmtId="0" fontId="3" fillId="0" borderId="1" xfId="0" applyFont="1" applyBorder="1"/>
    <xf numFmtId="0" fontId="2" fillId="0" borderId="1" xfId="0" applyFont="1" applyBorder="1"/>
    <xf numFmtId="0" fontId="2" fillId="0" borderId="1" xfId="0" applyFont="1" applyFill="1" applyBorder="1"/>
    <xf numFmtId="0" fontId="2" fillId="0" borderId="0" xfId="0" applyFont="1" applyBorder="1" applyAlignment="1">
      <alignment horizontal="right" vertical="center"/>
    </xf>
    <xf numFmtId="0" fontId="2" fillId="0" borderId="1" xfId="0" applyFont="1" applyBorder="1" applyAlignment="1">
      <alignment horizontal="right" vertical="center"/>
    </xf>
    <xf numFmtId="0" fontId="2" fillId="0" borderId="0" xfId="0" applyFont="1" applyBorder="1"/>
    <xf numFmtId="0" fontId="2" fillId="0" borderId="0" xfId="0" applyFont="1" applyBorder="1" applyAlignment="1">
      <alignment horizontal="right"/>
    </xf>
    <xf numFmtId="0" fontId="4" fillId="0" borderId="0" xfId="0" applyFont="1" applyBorder="1"/>
    <xf numFmtId="3" fontId="2" fillId="0" borderId="0" xfId="0" applyNumberFormat="1" applyFont="1" applyFill="1" applyBorder="1"/>
    <xf numFmtId="3" fontId="2" fillId="0" borderId="0" xfId="0" applyNumberFormat="1" applyFont="1" applyFill="1"/>
    <xf numFmtId="0" fontId="2" fillId="0" borderId="0" xfId="0" applyFont="1" applyAlignment="1">
      <alignment horizontal="right"/>
    </xf>
    <xf numFmtId="0" fontId="4" fillId="0" borderId="0" xfId="0" applyFont="1"/>
    <xf numFmtId="0" fontId="2" fillId="0" borderId="0" xfId="0" quotePrefix="1" applyFont="1" applyAlignment="1">
      <alignment horizontal="right"/>
    </xf>
    <xf numFmtId="164" fontId="2" fillId="0" borderId="0" xfId="0" applyNumberFormat="1" applyFont="1" applyFill="1"/>
    <xf numFmtId="0" fontId="2" fillId="0" borderId="0" xfId="0" applyFont="1" applyFill="1" applyAlignment="1">
      <alignment horizontal="right"/>
    </xf>
    <xf numFmtId="9" fontId="7" fillId="0" borderId="1" xfId="2" applyFont="1" applyFill="1" applyBorder="1"/>
    <xf numFmtId="0" fontId="2" fillId="0" borderId="3" xfId="0" applyFont="1" applyBorder="1"/>
    <xf numFmtId="0" fontId="2" fillId="0" borderId="3" xfId="0" applyFont="1" applyBorder="1" applyAlignment="1">
      <alignment horizontal="right"/>
    </xf>
    <xf numFmtId="0" fontId="2" fillId="0" borderId="0" xfId="0" applyFont="1" applyAlignment="1"/>
    <xf numFmtId="0" fontId="2" fillId="0" borderId="0" xfId="0" applyFont="1" applyBorder="1" applyAlignment="1"/>
    <xf numFmtId="9" fontId="11" fillId="0" borderId="0" xfId="2" applyFont="1" applyFill="1"/>
    <xf numFmtId="0" fontId="0" fillId="0" borderId="0" xfId="0" applyFill="1"/>
    <xf numFmtId="0" fontId="10" fillId="0" borderId="0" xfId="0" applyFont="1" applyFill="1"/>
    <xf numFmtId="0" fontId="2" fillId="0" borderId="0" xfId="0" applyFont="1" applyFill="1" applyBorder="1"/>
    <xf numFmtId="0" fontId="2" fillId="0" borderId="3" xfId="0" applyFont="1" applyFill="1" applyBorder="1"/>
    <xf numFmtId="0" fontId="2" fillId="0" borderId="4" xfId="0" applyFont="1" applyFill="1" applyBorder="1" applyAlignment="1">
      <alignment horizontal="center" vertical="center"/>
    </xf>
    <xf numFmtId="16" fontId="2" fillId="0" borderId="4" xfId="0" quotePrefix="1" applyNumberFormat="1" applyFont="1" applyFill="1" applyBorder="1" applyAlignment="1">
      <alignment horizontal="center" vertical="center" wrapText="1"/>
    </xf>
    <xf numFmtId="0" fontId="10" fillId="0" borderId="1" xfId="0" applyFont="1" applyFill="1" applyBorder="1" applyAlignment="1">
      <alignment horizontal="right"/>
    </xf>
    <xf numFmtId="0" fontId="2" fillId="0" borderId="4" xfId="0" applyFont="1" applyFill="1" applyBorder="1" applyAlignment="1">
      <alignment horizontal="center" vertical="center" wrapText="1"/>
    </xf>
    <xf numFmtId="0" fontId="2" fillId="0" borderId="3" xfId="0" applyFont="1" applyFill="1" applyBorder="1" applyAlignment="1">
      <alignment horizontal="right" vertical="center"/>
    </xf>
    <xf numFmtId="0" fontId="0" fillId="0" borderId="0" xfId="0" applyBorder="1"/>
    <xf numFmtId="0" fontId="2" fillId="0" borderId="1" xfId="0" applyFont="1" applyBorder="1" applyAlignment="1">
      <alignment vertical="center"/>
    </xf>
    <xf numFmtId="0" fontId="0" fillId="0" borderId="1" xfId="0" applyFill="1" applyBorder="1" applyAlignment="1">
      <alignment horizontal="right"/>
    </xf>
    <xf numFmtId="0" fontId="2" fillId="0" borderId="3" xfId="0" applyFont="1" applyBorder="1" applyAlignment="1">
      <alignment horizontal="righ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5" fillId="0" borderId="0" xfId="0" applyFont="1" applyFill="1"/>
    <xf numFmtId="9" fontId="7" fillId="0" borderId="0" xfId="2" applyFont="1" applyFill="1"/>
    <xf numFmtId="0" fontId="4" fillId="0" borderId="0" xfId="0" applyFont="1" applyFill="1"/>
    <xf numFmtId="166" fontId="2" fillId="0" borderId="0" xfId="1" applyNumberFormat="1" applyFont="1" applyFill="1"/>
    <xf numFmtId="165" fontId="5" fillId="0" borderId="0" xfId="1" applyNumberFormat="1" applyFont="1" applyFill="1"/>
    <xf numFmtId="165" fontId="2" fillId="0" borderId="0" xfId="1" applyNumberFormat="1" applyFont="1" applyFill="1"/>
    <xf numFmtId="0" fontId="2" fillId="0" borderId="0" xfId="0" quotePrefix="1" applyFont="1" applyFill="1" applyAlignment="1">
      <alignment horizontal="right"/>
    </xf>
    <xf numFmtId="168" fontId="0" fillId="0" borderId="0" xfId="0" applyNumberFormat="1"/>
    <xf numFmtId="9" fontId="12" fillId="0" borderId="0" xfId="2" applyFont="1" applyFill="1"/>
    <xf numFmtId="9" fontId="13" fillId="0" borderId="0" xfId="2" applyFont="1" applyFill="1"/>
    <xf numFmtId="2" fontId="2" fillId="0" borderId="0" xfId="0" applyNumberFormat="1" applyFont="1" applyFill="1"/>
    <xf numFmtId="167" fontId="7" fillId="0" borderId="0" xfId="2" applyNumberFormat="1" applyFont="1" applyFill="1"/>
    <xf numFmtId="164" fontId="14" fillId="0" borderId="0" xfId="0" applyNumberFormat="1" applyFont="1" applyFill="1"/>
    <xf numFmtId="0" fontId="16" fillId="0" borderId="0" xfId="0" applyFont="1" applyFill="1"/>
    <xf numFmtId="0" fontId="6" fillId="0" borderId="0" xfId="0" applyFont="1" applyFill="1"/>
    <xf numFmtId="0" fontId="15" fillId="0" borderId="0" xfId="0" applyFont="1" applyFill="1"/>
    <xf numFmtId="0" fontId="17" fillId="0" borderId="3" xfId="0" applyFont="1" applyBorder="1" applyAlignment="1">
      <alignment vertical="center"/>
    </xf>
    <xf numFmtId="0" fontId="5" fillId="0" borderId="4" xfId="0" applyFont="1" applyFill="1" applyBorder="1" applyAlignment="1">
      <alignment horizontal="center" vertical="center"/>
    </xf>
    <xf numFmtId="0" fontId="2" fillId="0" borderId="4" xfId="0" applyFont="1" applyFill="1" applyBorder="1" applyAlignment="1">
      <alignment horizontal="center" vertical="center"/>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7"/>
  <sheetViews>
    <sheetView tabSelected="1" zoomScale="110" zoomScaleNormal="110" workbookViewId="0">
      <pane xSplit="1" ySplit="4" topLeftCell="B20" activePane="bottomRight" state="frozen"/>
      <selection pane="topRight" activeCell="B1" sqref="B1"/>
      <selection pane="bottomLeft" activeCell="A5" sqref="A5"/>
      <selection pane="bottomRight" activeCell="C57" sqref="C57"/>
    </sheetView>
  </sheetViews>
  <sheetFormatPr baseColWidth="10" defaultRowHeight="12.75" x14ac:dyDescent="0.2"/>
  <cols>
    <col min="1" max="1" width="26.7109375" customWidth="1"/>
    <col min="2" max="2" width="4.5703125" bestFit="1" customWidth="1"/>
    <col min="3" max="3" width="11.42578125" style="24"/>
    <col min="4" max="4" width="1.5703125" style="25" customWidth="1"/>
    <col min="5" max="5" width="11.42578125" style="24"/>
    <col min="6" max="6" width="2.28515625" style="25" customWidth="1"/>
    <col min="7" max="7" width="11.42578125" style="24"/>
    <col min="8" max="8" width="1.7109375" style="25" customWidth="1"/>
    <col min="9" max="9" width="11.42578125" style="24"/>
    <col min="10" max="10" width="2" style="25" customWidth="1"/>
    <col min="11" max="11" width="11.42578125" style="24"/>
    <col min="12" max="12" width="2.28515625" style="25" customWidth="1"/>
    <col min="13" max="13" width="11.42578125" style="24"/>
    <col min="14" max="14" width="2.140625" style="25" customWidth="1"/>
  </cols>
  <sheetData>
    <row r="1" spans="1:16" ht="15" x14ac:dyDescent="0.25">
      <c r="A1" s="3" t="s">
        <v>33</v>
      </c>
      <c r="B1" s="4"/>
      <c r="C1" s="5"/>
      <c r="D1" s="5"/>
      <c r="E1" s="38"/>
      <c r="F1" s="5"/>
      <c r="G1" s="37"/>
      <c r="H1" s="5"/>
      <c r="I1" s="37"/>
      <c r="J1" s="5"/>
      <c r="K1" s="37"/>
      <c r="L1" s="5"/>
      <c r="M1" s="37"/>
      <c r="N1" s="5"/>
    </row>
    <row r="2" spans="1:16" x14ac:dyDescent="0.2">
      <c r="A2" s="55"/>
      <c r="B2" s="36" t="s">
        <v>0</v>
      </c>
      <c r="C2" s="32" t="s">
        <v>37</v>
      </c>
      <c r="D2" s="32"/>
      <c r="E2" s="57" t="s">
        <v>20</v>
      </c>
      <c r="F2" s="57"/>
      <c r="G2" s="57"/>
      <c r="H2" s="57"/>
      <c r="I2" s="57"/>
      <c r="J2" s="57"/>
      <c r="K2" s="57"/>
      <c r="L2" s="57"/>
      <c r="M2" s="57"/>
      <c r="N2" s="57"/>
      <c r="O2" s="33"/>
    </row>
    <row r="3" spans="1:16" ht="29.25" x14ac:dyDescent="0.2">
      <c r="A3" s="34"/>
      <c r="B3" s="7"/>
      <c r="C3" s="35"/>
      <c r="D3" s="30"/>
      <c r="E3" s="31" t="s">
        <v>35</v>
      </c>
      <c r="F3" s="29"/>
      <c r="G3" s="28" t="s">
        <v>1</v>
      </c>
      <c r="H3" s="29"/>
      <c r="I3" s="56" t="s">
        <v>39</v>
      </c>
      <c r="J3" s="29"/>
      <c r="K3" s="28" t="s">
        <v>2</v>
      </c>
      <c r="L3" s="29"/>
      <c r="M3" s="31" t="s">
        <v>3</v>
      </c>
      <c r="N3" s="29"/>
      <c r="O3" s="33"/>
    </row>
    <row r="4" spans="1:16" x14ac:dyDescent="0.2">
      <c r="A4" s="8"/>
      <c r="B4" s="9"/>
      <c r="C4" s="26"/>
      <c r="D4" s="2"/>
      <c r="E4" s="26"/>
      <c r="F4" s="2"/>
      <c r="G4" s="26"/>
      <c r="H4" s="2"/>
      <c r="I4" s="26"/>
      <c r="J4" s="23"/>
      <c r="K4" s="26"/>
      <c r="L4" s="2"/>
      <c r="M4" s="26"/>
      <c r="N4" s="2"/>
    </row>
    <row r="5" spans="1:16" x14ac:dyDescent="0.2">
      <c r="A5" s="14" t="s">
        <v>21</v>
      </c>
      <c r="B5" s="6" t="s">
        <v>22</v>
      </c>
      <c r="C5" s="11">
        <v>414</v>
      </c>
      <c r="D5" s="39"/>
      <c r="E5" s="12">
        <v>92</v>
      </c>
      <c r="F5" s="40"/>
      <c r="G5" s="12">
        <v>73</v>
      </c>
      <c r="H5" s="40"/>
      <c r="I5" s="12">
        <v>116</v>
      </c>
      <c r="J5" s="40"/>
      <c r="K5" s="12">
        <v>43</v>
      </c>
      <c r="L5" s="40"/>
      <c r="M5" s="12">
        <v>90</v>
      </c>
      <c r="N5" s="16"/>
      <c r="O5" s="24"/>
    </row>
    <row r="6" spans="1:16" x14ac:dyDescent="0.2">
      <c r="A6" s="8"/>
      <c r="B6" s="9"/>
      <c r="C6" s="11"/>
      <c r="D6" s="11"/>
      <c r="E6" s="11"/>
      <c r="F6" s="11"/>
      <c r="G6" s="11"/>
      <c r="H6" s="11"/>
      <c r="I6" s="11"/>
      <c r="J6" s="11"/>
      <c r="K6" s="11"/>
      <c r="L6" s="11"/>
      <c r="M6" s="11"/>
      <c r="N6" s="2"/>
    </row>
    <row r="7" spans="1:16" x14ac:dyDescent="0.2">
      <c r="A7" s="10" t="s">
        <v>4</v>
      </c>
      <c r="B7" s="9" t="s">
        <v>5</v>
      </c>
      <c r="C7" s="11">
        <v>4792</v>
      </c>
      <c r="D7" s="39"/>
      <c r="E7" s="12">
        <v>1128</v>
      </c>
      <c r="F7" s="40"/>
      <c r="G7" s="12">
        <v>790</v>
      </c>
      <c r="H7" s="40"/>
      <c r="I7" s="12">
        <v>1909</v>
      </c>
      <c r="J7" s="40"/>
      <c r="K7" s="12">
        <v>662</v>
      </c>
      <c r="L7" s="40"/>
      <c r="M7" s="12">
        <v>303</v>
      </c>
      <c r="N7" s="40"/>
      <c r="O7" s="24"/>
    </row>
    <row r="8" spans="1:16" s="24" customFormat="1" x14ac:dyDescent="0.2">
      <c r="A8" s="2"/>
      <c r="B8" s="17"/>
      <c r="C8" s="12"/>
      <c r="D8" s="39"/>
      <c r="E8" s="12"/>
      <c r="F8" s="40"/>
      <c r="G8" s="12"/>
      <c r="H8" s="40"/>
      <c r="I8" s="12"/>
      <c r="J8" s="40"/>
      <c r="K8" s="12"/>
      <c r="L8" s="40"/>
      <c r="M8" s="12"/>
      <c r="N8" s="40"/>
    </row>
    <row r="9" spans="1:16" x14ac:dyDescent="0.2">
      <c r="A9" s="14" t="s">
        <v>6</v>
      </c>
      <c r="B9" s="15" t="s">
        <v>30</v>
      </c>
      <c r="C9" s="16">
        <v>2854819</v>
      </c>
      <c r="D9" s="53"/>
      <c r="E9" s="16">
        <v>482445</v>
      </c>
      <c r="F9" s="40"/>
      <c r="G9" s="16">
        <v>570001</v>
      </c>
      <c r="H9" s="40"/>
      <c r="I9" s="16">
        <v>1145488</v>
      </c>
      <c r="J9" s="40"/>
      <c r="K9" s="16">
        <v>514933</v>
      </c>
      <c r="L9" s="40"/>
      <c r="M9" s="16">
        <v>141952</v>
      </c>
      <c r="N9" s="40"/>
      <c r="P9" s="46"/>
    </row>
    <row r="10" spans="1:16" x14ac:dyDescent="0.2">
      <c r="A10" s="1" t="s">
        <v>7</v>
      </c>
      <c r="B10" s="15" t="s">
        <v>30</v>
      </c>
      <c r="C10" s="16">
        <v>2514958</v>
      </c>
      <c r="D10" s="54"/>
      <c r="E10" s="51">
        <v>396412</v>
      </c>
      <c r="F10" s="40"/>
      <c r="G10" s="16">
        <v>507960</v>
      </c>
      <c r="H10" s="40"/>
      <c r="I10" s="16">
        <v>1005777</v>
      </c>
      <c r="J10" s="40"/>
      <c r="K10" s="16">
        <v>436995</v>
      </c>
      <c r="L10" s="40"/>
      <c r="M10" s="16">
        <v>123085</v>
      </c>
      <c r="N10" s="40"/>
    </row>
    <row r="11" spans="1:16" x14ac:dyDescent="0.2">
      <c r="A11" s="1" t="s">
        <v>36</v>
      </c>
      <c r="B11" s="15" t="s">
        <v>30</v>
      </c>
      <c r="C11" s="16">
        <v>339978</v>
      </c>
      <c r="D11" s="54"/>
      <c r="E11" s="16">
        <v>86150</v>
      </c>
      <c r="F11" s="39" t="s">
        <v>15</v>
      </c>
      <c r="G11" s="16">
        <v>62311</v>
      </c>
      <c r="H11" s="40" t="s">
        <v>15</v>
      </c>
      <c r="I11" s="16">
        <v>94711</v>
      </c>
      <c r="J11" s="40"/>
      <c r="K11" s="16">
        <v>77938</v>
      </c>
      <c r="L11" s="40"/>
      <c r="M11" s="16">
        <v>18867</v>
      </c>
      <c r="N11" s="40"/>
    </row>
    <row r="12" spans="1:16" s="24" customFormat="1" x14ac:dyDescent="0.2">
      <c r="A12" s="2"/>
      <c r="B12" s="17"/>
      <c r="C12" s="12"/>
      <c r="D12" s="39"/>
      <c r="E12" s="12"/>
      <c r="F12" s="40"/>
      <c r="G12" s="12"/>
      <c r="H12" s="40"/>
      <c r="I12" s="12"/>
      <c r="J12" s="40"/>
      <c r="K12" s="12"/>
      <c r="L12" s="40"/>
      <c r="M12" s="12"/>
      <c r="N12" s="40"/>
    </row>
    <row r="13" spans="1:16" s="24" customFormat="1" x14ac:dyDescent="0.2">
      <c r="A13" s="41" t="s">
        <v>8</v>
      </c>
      <c r="B13" s="17"/>
      <c r="C13" s="44"/>
      <c r="D13" s="39"/>
      <c r="E13" s="44"/>
      <c r="F13" s="40"/>
      <c r="G13" s="44"/>
      <c r="H13" s="40"/>
      <c r="I13" s="44"/>
      <c r="J13" s="40"/>
      <c r="K13" s="44"/>
      <c r="L13" s="40"/>
      <c r="M13" s="44"/>
      <c r="N13" s="40"/>
    </row>
    <row r="14" spans="1:16" x14ac:dyDescent="0.2">
      <c r="A14" s="1" t="s">
        <v>9</v>
      </c>
      <c r="B14" s="13" t="s">
        <v>10</v>
      </c>
      <c r="C14" s="12">
        <v>93221.651299999998</v>
      </c>
      <c r="D14" s="39"/>
      <c r="E14" s="12">
        <f>1235607*19.05/1000</f>
        <v>23538.31335</v>
      </c>
      <c r="F14" s="40"/>
      <c r="G14" s="12">
        <f>668977*19.05/1000</f>
        <v>12744.011849999999</v>
      </c>
      <c r="H14" s="47"/>
      <c r="I14" s="12">
        <f>1965421*19.05/1000</f>
        <v>37441.270050000006</v>
      </c>
      <c r="J14" s="40"/>
      <c r="K14" s="12">
        <f>806280*19.05/1000</f>
        <v>15359.634</v>
      </c>
      <c r="L14" s="48"/>
      <c r="M14" s="12">
        <f>217240*19.05/1000</f>
        <v>4138.4219999999996</v>
      </c>
      <c r="N14" s="40"/>
    </row>
    <row r="15" spans="1:16" s="24" customFormat="1" x14ac:dyDescent="0.2">
      <c r="A15" s="2" t="s">
        <v>23</v>
      </c>
      <c r="B15" s="17" t="s">
        <v>10</v>
      </c>
      <c r="C15" s="12">
        <v>92423.246700000003</v>
      </c>
      <c r="D15" s="39"/>
      <c r="E15" s="12">
        <f>1229411*19.05/1000</f>
        <v>23420.279549999999</v>
      </c>
      <c r="F15" s="40"/>
      <c r="G15" s="12">
        <f>659630*19.05/1000</f>
        <v>12565.951499999999</v>
      </c>
      <c r="H15" s="47"/>
      <c r="I15" s="12">
        <f>1950753*19.05/1000</f>
        <v>37161.844649999999</v>
      </c>
      <c r="J15" s="40"/>
      <c r="K15" s="12">
        <f>800543*19.05/1000</f>
        <v>15250.344150000001</v>
      </c>
      <c r="L15" s="48"/>
      <c r="M15" s="12">
        <f>211278*19.05/1000</f>
        <v>4024.8459000000003</v>
      </c>
      <c r="N15" s="40"/>
    </row>
    <row r="16" spans="1:16" s="24" customFormat="1" x14ac:dyDescent="0.2">
      <c r="A16" s="2" t="s">
        <v>11</v>
      </c>
      <c r="B16" s="45" t="s">
        <v>31</v>
      </c>
      <c r="C16" s="16">
        <v>61451143</v>
      </c>
      <c r="D16" s="39"/>
      <c r="E16" s="16">
        <v>16818473</v>
      </c>
      <c r="F16" s="40"/>
      <c r="G16" s="16">
        <v>9078047</v>
      </c>
      <c r="H16" s="40"/>
      <c r="I16" s="16">
        <v>22600491</v>
      </c>
      <c r="J16" s="40"/>
      <c r="K16" s="16">
        <v>9489771</v>
      </c>
      <c r="L16" s="40"/>
      <c r="M16" s="16">
        <v>3464363</v>
      </c>
      <c r="N16" s="40"/>
    </row>
    <row r="17" spans="1:14" s="24" customFormat="1" x14ac:dyDescent="0.2">
      <c r="A17" s="2" t="s">
        <v>12</v>
      </c>
      <c r="B17" s="17" t="s">
        <v>13</v>
      </c>
      <c r="C17" s="49">
        <v>665.09</v>
      </c>
      <c r="D17" s="52"/>
      <c r="E17" s="49">
        <v>718.11</v>
      </c>
      <c r="F17" s="40"/>
      <c r="G17" s="49">
        <v>722.31</v>
      </c>
      <c r="H17" s="40"/>
      <c r="I17" s="49">
        <v>606.29999999999995</v>
      </c>
      <c r="J17" s="40"/>
      <c r="K17" s="49">
        <v>622.04999999999995</v>
      </c>
      <c r="L17" s="40"/>
      <c r="M17" s="49">
        <v>860.89</v>
      </c>
      <c r="N17" s="40"/>
    </row>
    <row r="18" spans="1:14" s="24" customFormat="1" x14ac:dyDescent="0.2">
      <c r="A18" s="2"/>
      <c r="B18" s="17"/>
      <c r="C18" s="42"/>
      <c r="D18" s="43"/>
      <c r="E18" s="42"/>
      <c r="F18" s="40"/>
      <c r="G18" s="42"/>
      <c r="H18" s="40"/>
      <c r="I18" s="42"/>
      <c r="J18" s="40"/>
      <c r="K18" s="42"/>
      <c r="L18" s="40"/>
      <c r="M18" s="42"/>
      <c r="N18" s="40"/>
    </row>
    <row r="19" spans="1:14" s="24" customFormat="1" x14ac:dyDescent="0.2">
      <c r="A19" s="41" t="s">
        <v>24</v>
      </c>
      <c r="B19" s="17"/>
      <c r="C19" s="2"/>
      <c r="D19" s="39"/>
      <c r="E19" s="2"/>
      <c r="F19" s="40"/>
      <c r="G19" s="2"/>
      <c r="H19" s="40"/>
      <c r="I19" s="2"/>
      <c r="J19" s="40"/>
      <c r="K19" s="2"/>
      <c r="L19" s="40"/>
      <c r="M19" s="2"/>
      <c r="N19" s="40"/>
    </row>
    <row r="20" spans="1:14" s="24" customFormat="1" x14ac:dyDescent="0.2">
      <c r="A20" s="2" t="s">
        <v>14</v>
      </c>
      <c r="B20" s="17" t="s">
        <v>10</v>
      </c>
      <c r="C20" s="12">
        <v>69764.757600000012</v>
      </c>
      <c r="D20" s="39"/>
      <c r="E20" s="12">
        <f>877778*19.05/1000</f>
        <v>16721.670900000001</v>
      </c>
      <c r="F20" s="40"/>
      <c r="G20" s="12">
        <f>572163*19.05/1000</f>
        <v>10899.70515</v>
      </c>
      <c r="H20" s="40"/>
      <c r="I20" s="12">
        <f>1429419*19.05/1000</f>
        <v>27230.431949999998</v>
      </c>
      <c r="J20" s="40"/>
      <c r="K20" s="12">
        <f>584493*19.05/1000</f>
        <v>11134.59165</v>
      </c>
      <c r="L20" s="40"/>
      <c r="M20" s="12">
        <f>198339*19.05/1000</f>
        <v>3778.3579500000001</v>
      </c>
      <c r="N20" s="40"/>
    </row>
    <row r="21" spans="1:14" s="24" customFormat="1" x14ac:dyDescent="0.2">
      <c r="A21" s="2" t="s">
        <v>11</v>
      </c>
      <c r="B21" s="45" t="s">
        <v>31</v>
      </c>
      <c r="C21" s="16">
        <v>55198601</v>
      </c>
      <c r="D21" s="39"/>
      <c r="E21" s="16">
        <v>14549735</v>
      </c>
      <c r="F21" s="40"/>
      <c r="G21" s="16">
        <v>8573614</v>
      </c>
      <c r="H21" s="40"/>
      <c r="I21" s="16">
        <v>20176226</v>
      </c>
      <c r="J21" s="40"/>
      <c r="K21" s="16">
        <v>8492294</v>
      </c>
      <c r="L21" s="40"/>
      <c r="M21" s="16">
        <v>3406101</v>
      </c>
      <c r="N21" s="40"/>
    </row>
    <row r="22" spans="1:14" s="24" customFormat="1" x14ac:dyDescent="0.2">
      <c r="A22" s="2" t="s">
        <v>12</v>
      </c>
      <c r="B22" s="17" t="s">
        <v>13</v>
      </c>
      <c r="C22" s="49">
        <v>791.08</v>
      </c>
      <c r="D22" s="39"/>
      <c r="E22" s="49">
        <v>870.34</v>
      </c>
      <c r="F22" s="40"/>
      <c r="G22" s="49">
        <v>786.35</v>
      </c>
      <c r="H22" s="40"/>
      <c r="I22" s="49">
        <v>740.68</v>
      </c>
      <c r="J22" s="40"/>
      <c r="K22" s="49">
        <v>762.73</v>
      </c>
      <c r="L22" s="40"/>
      <c r="M22" s="49">
        <v>901.32</v>
      </c>
      <c r="N22" s="40"/>
    </row>
    <row r="23" spans="1:14" s="24" customFormat="1" x14ac:dyDescent="0.2">
      <c r="A23" s="2"/>
      <c r="B23" s="17"/>
      <c r="C23" s="2"/>
      <c r="D23" s="39"/>
      <c r="E23" s="2"/>
      <c r="F23" s="40"/>
      <c r="G23" s="2"/>
      <c r="H23" s="40"/>
      <c r="I23" s="2"/>
      <c r="J23" s="40"/>
      <c r="K23" s="2"/>
      <c r="L23" s="40"/>
      <c r="M23" s="2"/>
      <c r="N23" s="40"/>
    </row>
    <row r="24" spans="1:14" s="24" customFormat="1" x14ac:dyDescent="0.2">
      <c r="A24" s="41" t="s">
        <v>25</v>
      </c>
      <c r="B24" s="17"/>
      <c r="C24" s="2"/>
      <c r="D24" s="39"/>
      <c r="E24" s="2"/>
      <c r="F24" s="40"/>
      <c r="G24" s="2"/>
      <c r="H24" s="40"/>
      <c r="I24" s="2"/>
      <c r="J24" s="40"/>
      <c r="K24" s="2"/>
      <c r="L24" s="40"/>
      <c r="M24" s="2"/>
      <c r="N24" s="40"/>
    </row>
    <row r="25" spans="1:14" x14ac:dyDescent="0.2">
      <c r="A25" s="1" t="s">
        <v>14</v>
      </c>
      <c r="B25" s="13" t="s">
        <v>10</v>
      </c>
      <c r="C25" s="12">
        <v>22658.47005</v>
      </c>
      <c r="D25" s="39"/>
      <c r="E25" s="12">
        <f>(351632*19.05)/1000</f>
        <v>6698.5896000000002</v>
      </c>
      <c r="F25" s="40" t="s">
        <v>15</v>
      </c>
      <c r="G25" s="12">
        <f>87467*19.05/1000</f>
        <v>1666.2463500000001</v>
      </c>
      <c r="H25" s="40" t="s">
        <v>15</v>
      </c>
      <c r="I25" s="12">
        <f>521333*19.05/1000</f>
        <v>9931.39365</v>
      </c>
      <c r="J25" s="40"/>
      <c r="K25" s="12">
        <f>12938*19.05/1000</f>
        <v>246.46890000000002</v>
      </c>
      <c r="L25" s="40" t="s">
        <v>16</v>
      </c>
      <c r="M25" s="12">
        <v>226.81983578137206</v>
      </c>
      <c r="N25" s="40" t="s">
        <v>16</v>
      </c>
    </row>
    <row r="26" spans="1:14" x14ac:dyDescent="0.2">
      <c r="A26" s="1" t="s">
        <v>11</v>
      </c>
      <c r="B26" s="15" t="s">
        <v>31</v>
      </c>
      <c r="C26" s="16">
        <v>6254542</v>
      </c>
      <c r="D26" s="39" t="s">
        <v>16</v>
      </c>
      <c r="E26" s="16">
        <v>2268738</v>
      </c>
      <c r="F26" s="40" t="s">
        <v>15</v>
      </c>
      <c r="G26" s="16">
        <v>504432</v>
      </c>
      <c r="H26" s="40" t="s">
        <v>15</v>
      </c>
      <c r="I26" s="16">
        <v>2424465</v>
      </c>
      <c r="J26" s="40" t="s">
        <v>32</v>
      </c>
      <c r="K26" s="16">
        <v>996846</v>
      </c>
      <c r="L26" s="40"/>
      <c r="M26" s="16">
        <v>58261</v>
      </c>
      <c r="N26" s="40" t="s">
        <v>16</v>
      </c>
    </row>
    <row r="27" spans="1:14" s="24" customFormat="1" x14ac:dyDescent="0.2">
      <c r="A27" s="2" t="s">
        <v>12</v>
      </c>
      <c r="B27" s="17" t="s">
        <v>13</v>
      </c>
      <c r="C27" s="49">
        <v>276.11</v>
      </c>
      <c r="D27" s="39"/>
      <c r="E27" s="49">
        <v>338.58</v>
      </c>
      <c r="F27" s="40" t="s">
        <v>16</v>
      </c>
      <c r="G27" s="49">
        <v>302.89</v>
      </c>
      <c r="H27" s="40" t="s">
        <v>15</v>
      </c>
      <c r="I27" s="49">
        <v>244.09</v>
      </c>
      <c r="J27" s="40" t="s">
        <v>32</v>
      </c>
      <c r="K27" s="49">
        <v>241.99</v>
      </c>
      <c r="L27" s="50"/>
      <c r="M27" s="49">
        <v>236.22</v>
      </c>
      <c r="N27" s="40" t="s">
        <v>16</v>
      </c>
    </row>
    <row r="28" spans="1:14" s="24" customFormat="1" x14ac:dyDescent="0.2">
      <c r="A28" s="2"/>
      <c r="B28" s="17"/>
      <c r="C28" s="2"/>
      <c r="D28" s="39"/>
      <c r="E28" s="2"/>
      <c r="F28" s="40"/>
      <c r="G28" s="2"/>
      <c r="H28" s="40"/>
      <c r="I28" s="2"/>
      <c r="J28" s="40"/>
      <c r="K28" s="2"/>
      <c r="L28" s="40"/>
      <c r="M28" s="2"/>
      <c r="N28" s="40"/>
    </row>
    <row r="29" spans="1:14" s="24" customFormat="1" x14ac:dyDescent="0.2">
      <c r="A29" s="41" t="s">
        <v>28</v>
      </c>
      <c r="B29" s="17"/>
      <c r="C29" s="2"/>
      <c r="D29" s="39"/>
      <c r="E29" s="2"/>
      <c r="F29" s="40"/>
      <c r="G29" s="2"/>
      <c r="H29" s="40"/>
      <c r="I29" s="2"/>
      <c r="J29" s="40"/>
      <c r="K29" s="2"/>
      <c r="L29" s="40"/>
      <c r="M29" s="2"/>
      <c r="N29" s="40"/>
    </row>
    <row r="30" spans="1:14" x14ac:dyDescent="0.2">
      <c r="A30" s="1" t="s">
        <v>17</v>
      </c>
      <c r="B30" s="13" t="s">
        <v>10</v>
      </c>
      <c r="C30" s="12">
        <v>1970.2462499999999</v>
      </c>
      <c r="D30" s="39"/>
      <c r="E30" s="12">
        <f>33142*19.05/1000</f>
        <v>631.35509999999999</v>
      </c>
      <c r="F30" s="40" t="s">
        <v>16</v>
      </c>
      <c r="G30" s="12">
        <f>20069*19.05/1000</f>
        <v>382.31445000000002</v>
      </c>
      <c r="H30" s="40" t="s">
        <v>15</v>
      </c>
      <c r="I30" s="12">
        <f>30947*19.05/1000</f>
        <v>589.54034999999999</v>
      </c>
      <c r="J30" s="40" t="s">
        <v>32</v>
      </c>
      <c r="K30" s="12">
        <f>7916*19.05/1000</f>
        <v>150.7998</v>
      </c>
      <c r="L30" s="40"/>
      <c r="M30" s="12">
        <f>11351*19.05/1000</f>
        <v>216.23655000000002</v>
      </c>
      <c r="N30" s="40" t="s">
        <v>16</v>
      </c>
    </row>
    <row r="31" spans="1:14" x14ac:dyDescent="0.2">
      <c r="A31" s="1" t="s">
        <v>14</v>
      </c>
      <c r="B31" s="13" t="s">
        <v>10</v>
      </c>
      <c r="C31" s="12">
        <v>1932.5463</v>
      </c>
      <c r="D31" s="39"/>
      <c r="E31" s="12">
        <f>33110*19.05/1000</f>
        <v>630.74549999999999</v>
      </c>
      <c r="F31" s="40" t="s">
        <v>16</v>
      </c>
      <c r="G31" s="12">
        <f>20053*19.05/1000</f>
        <v>382.00965000000002</v>
      </c>
      <c r="H31" s="40" t="s">
        <v>15</v>
      </c>
      <c r="I31" s="12">
        <f>29299*19.05/1000</f>
        <v>558.14595000000008</v>
      </c>
      <c r="J31" s="40" t="s">
        <v>32</v>
      </c>
      <c r="K31" s="12">
        <f>7916*19.05/1000</f>
        <v>150.7998</v>
      </c>
      <c r="L31" s="40"/>
      <c r="M31" s="12">
        <f>11068*19.05/1000</f>
        <v>210.84539999999998</v>
      </c>
      <c r="N31" s="40" t="s">
        <v>16</v>
      </c>
    </row>
    <row r="32" spans="1:14" x14ac:dyDescent="0.2">
      <c r="A32" s="1" t="s">
        <v>11</v>
      </c>
      <c r="B32" s="15" t="s">
        <v>31</v>
      </c>
      <c r="C32" s="16">
        <v>1348261</v>
      </c>
      <c r="D32" s="39"/>
      <c r="E32" s="16">
        <v>342345</v>
      </c>
      <c r="F32" s="40" t="s">
        <v>16</v>
      </c>
      <c r="G32" s="16">
        <v>247788</v>
      </c>
      <c r="H32" s="40" t="s">
        <v>15</v>
      </c>
      <c r="I32" s="16">
        <v>322688</v>
      </c>
      <c r="J32" s="40" t="s">
        <v>32</v>
      </c>
      <c r="K32" s="16">
        <v>134874</v>
      </c>
      <c r="L32" s="40" t="s">
        <v>15</v>
      </c>
      <c r="M32" s="16">
        <v>220500</v>
      </c>
      <c r="N32" s="40"/>
    </row>
    <row r="33" spans="1:14" x14ac:dyDescent="0.2">
      <c r="A33" s="1" t="s">
        <v>18</v>
      </c>
      <c r="B33" s="13" t="s">
        <v>13</v>
      </c>
      <c r="C33" s="49">
        <v>697.64</v>
      </c>
      <c r="D33" s="39"/>
      <c r="E33" s="49">
        <v>580.58000000000004</v>
      </c>
      <c r="F33" s="40" t="s">
        <v>16</v>
      </c>
      <c r="G33" s="49">
        <v>752.76</v>
      </c>
      <c r="H33" s="40" t="s">
        <v>15</v>
      </c>
      <c r="I33" s="49">
        <v>600</v>
      </c>
      <c r="J33" s="40" t="s">
        <v>15</v>
      </c>
      <c r="K33" s="49">
        <v>914.96</v>
      </c>
      <c r="L33" s="40" t="s">
        <v>15</v>
      </c>
      <c r="M33" s="49">
        <v>1052.49</v>
      </c>
      <c r="N33" s="40" t="s">
        <v>15</v>
      </c>
    </row>
    <row r="34" spans="1:14" s="24" customFormat="1" x14ac:dyDescent="0.2">
      <c r="A34" s="2"/>
      <c r="B34" s="17"/>
      <c r="C34" s="2"/>
      <c r="D34" s="39"/>
      <c r="E34" s="2"/>
      <c r="F34" s="40"/>
      <c r="G34" s="2"/>
      <c r="H34" s="40"/>
      <c r="I34" s="2"/>
      <c r="J34" s="40"/>
      <c r="K34" s="2"/>
      <c r="L34" s="40"/>
      <c r="M34" s="2"/>
      <c r="N34" s="40"/>
    </row>
    <row r="35" spans="1:14" s="24" customFormat="1" x14ac:dyDescent="0.2">
      <c r="A35" s="41" t="s">
        <v>29</v>
      </c>
      <c r="B35" s="17"/>
      <c r="C35" s="2"/>
      <c r="D35" s="39"/>
      <c r="E35" s="2"/>
      <c r="F35" s="40"/>
      <c r="G35" s="2"/>
      <c r="H35" s="40"/>
      <c r="I35" s="2"/>
      <c r="J35" s="40"/>
      <c r="K35" s="2"/>
      <c r="L35" s="40"/>
      <c r="M35" s="2"/>
      <c r="N35" s="40"/>
    </row>
    <row r="36" spans="1:14" s="24" customFormat="1" x14ac:dyDescent="0.2">
      <c r="A36" s="2" t="s">
        <v>17</v>
      </c>
      <c r="B36" s="17" t="s">
        <v>10</v>
      </c>
      <c r="C36" s="12">
        <v>91251.404999999999</v>
      </c>
      <c r="D36" s="39"/>
      <c r="E36" s="12">
        <f>1202466*19.05/1000</f>
        <v>22906.977300000002</v>
      </c>
      <c r="F36" s="40"/>
      <c r="G36" s="12">
        <f>648908*19.05/1000</f>
        <v>12361.697400000001</v>
      </c>
      <c r="H36" s="40"/>
      <c r="I36" s="12">
        <f>1934473*19.05/1000</f>
        <v>36851.710650000001</v>
      </c>
      <c r="J36" s="40"/>
      <c r="K36" s="12">
        <f>798365*19.05/1000</f>
        <v>15208.85325</v>
      </c>
      <c r="L36" s="40"/>
      <c r="M36" s="12">
        <f>205889*19.05/1000</f>
        <v>3922.1854500000004</v>
      </c>
      <c r="N36" s="40"/>
    </row>
    <row r="37" spans="1:14" s="24" customFormat="1" x14ac:dyDescent="0.2">
      <c r="A37" s="2" t="s">
        <v>14</v>
      </c>
      <c r="B37" s="17" t="s">
        <v>10</v>
      </c>
      <c r="C37" s="12">
        <v>90490.681350000013</v>
      </c>
      <c r="D37" s="39"/>
      <c r="E37" s="12">
        <f>1196300*19.05/1000</f>
        <v>22789.514999999999</v>
      </c>
      <c r="F37" s="40"/>
      <c r="G37" s="12">
        <f>639577*19.05/1000</f>
        <v>12183.941849999999</v>
      </c>
      <c r="H37" s="40"/>
      <c r="I37" s="12">
        <f>1921453*19.05/1000</f>
        <v>36603.679649999998</v>
      </c>
      <c r="J37" s="40"/>
      <c r="K37" s="12">
        <f>792627*19.05/1000</f>
        <v>15099.544350000002</v>
      </c>
      <c r="L37" s="40"/>
      <c r="M37" s="12">
        <f>200210*19.05/1000</f>
        <v>3814.0005000000001</v>
      </c>
      <c r="N37" s="40"/>
    </row>
    <row r="38" spans="1:14" s="24" customFormat="1" x14ac:dyDescent="0.2">
      <c r="A38" s="2" t="s">
        <v>11</v>
      </c>
      <c r="B38" s="45" t="s">
        <v>31</v>
      </c>
      <c r="C38" s="16">
        <v>60102882</v>
      </c>
      <c r="D38" s="39"/>
      <c r="E38" s="16">
        <f>14207390</f>
        <v>14207390</v>
      </c>
      <c r="F38" s="40"/>
      <c r="G38" s="16">
        <v>8298826</v>
      </c>
      <c r="H38" s="40"/>
      <c r="I38" s="16">
        <v>19853538</v>
      </c>
      <c r="J38" s="40"/>
      <c r="K38" s="16">
        <v>8358051</v>
      </c>
      <c r="L38" s="40"/>
      <c r="M38" s="16">
        <v>3185602</v>
      </c>
      <c r="N38" s="40"/>
    </row>
    <row r="39" spans="1:14" s="24" customFormat="1" x14ac:dyDescent="0.2">
      <c r="A39" s="2" t="s">
        <v>18</v>
      </c>
      <c r="B39" s="17" t="s">
        <v>13</v>
      </c>
      <c r="C39" s="49">
        <v>664.04</v>
      </c>
      <c r="D39" s="39"/>
      <c r="E39" s="49">
        <v>721.78</v>
      </c>
      <c r="F39" s="40"/>
      <c r="G39" s="49">
        <v>721.26</v>
      </c>
      <c r="H39" s="40"/>
      <c r="I39" s="49">
        <v>608.4</v>
      </c>
      <c r="J39" s="40"/>
      <c r="K39" s="49">
        <v>619.41999999999996</v>
      </c>
      <c r="L39" s="40"/>
      <c r="M39" s="49">
        <v>850.39</v>
      </c>
      <c r="N39" s="40"/>
    </row>
    <row r="40" spans="1:14" x14ac:dyDescent="0.2">
      <c r="A40" s="2"/>
      <c r="B40" s="17"/>
      <c r="C40" s="2"/>
      <c r="D40" s="5"/>
      <c r="E40" s="2"/>
      <c r="F40" s="18"/>
      <c r="G40" s="2"/>
      <c r="H40" s="5"/>
      <c r="I40" s="2"/>
      <c r="J40" s="5"/>
      <c r="K40" s="2"/>
      <c r="L40" s="5"/>
      <c r="M40" s="2"/>
      <c r="N40" s="5"/>
    </row>
    <row r="41" spans="1:14" x14ac:dyDescent="0.2">
      <c r="A41" s="19"/>
      <c r="B41" s="20"/>
      <c r="C41" s="27"/>
      <c r="D41" s="2"/>
      <c r="E41" s="27"/>
      <c r="F41" s="2"/>
      <c r="G41" s="27"/>
      <c r="H41" s="2"/>
      <c r="I41" s="27"/>
      <c r="J41" s="2"/>
      <c r="K41" s="27"/>
      <c r="L41" s="2"/>
      <c r="M41" s="27"/>
      <c r="N41" s="2"/>
    </row>
    <row r="42" spans="1:14" x14ac:dyDescent="0.2">
      <c r="A42" s="1" t="s">
        <v>47</v>
      </c>
      <c r="B42" s="1"/>
      <c r="C42" s="2"/>
      <c r="D42" s="2"/>
      <c r="E42" s="2"/>
      <c r="F42" s="2"/>
      <c r="G42" s="2"/>
      <c r="H42" s="2"/>
      <c r="I42" s="2"/>
      <c r="J42" s="2"/>
      <c r="K42" s="2"/>
      <c r="L42" s="2"/>
      <c r="M42" s="2"/>
      <c r="N42" s="2"/>
    </row>
    <row r="43" spans="1:14" x14ac:dyDescent="0.2">
      <c r="A43" s="1" t="s">
        <v>38</v>
      </c>
      <c r="B43" s="1"/>
      <c r="C43" s="2"/>
      <c r="D43" s="2"/>
      <c r="E43" s="2"/>
      <c r="F43" s="2"/>
      <c r="G43" s="2"/>
      <c r="H43" s="2"/>
      <c r="I43" s="2"/>
      <c r="J43" s="2"/>
      <c r="K43" s="2"/>
      <c r="L43" s="2"/>
      <c r="M43" s="2"/>
      <c r="N43" s="2"/>
    </row>
    <row r="44" spans="1:14" x14ac:dyDescent="0.2">
      <c r="A44" s="1"/>
      <c r="B44" s="1"/>
      <c r="C44" s="2"/>
      <c r="D44" s="2"/>
      <c r="E44" s="2"/>
      <c r="F44" s="2"/>
      <c r="G44" s="2"/>
      <c r="H44" s="2"/>
      <c r="I44" s="2"/>
      <c r="J44" s="2"/>
      <c r="K44" s="2"/>
      <c r="L44" s="2"/>
      <c r="M44" s="2"/>
      <c r="N44" s="2"/>
    </row>
    <row r="45" spans="1:14" x14ac:dyDescent="0.2">
      <c r="A45" s="1" t="s">
        <v>40</v>
      </c>
      <c r="B45" s="1"/>
      <c r="C45" s="2"/>
      <c r="D45" s="2"/>
      <c r="E45" s="2"/>
      <c r="F45" s="2"/>
      <c r="G45" s="2"/>
      <c r="H45" s="2"/>
      <c r="I45" s="2"/>
      <c r="J45" s="2"/>
      <c r="K45" s="2"/>
      <c r="L45" s="2"/>
      <c r="M45" s="2"/>
      <c r="N45" s="2"/>
    </row>
    <row r="46" spans="1:14" x14ac:dyDescent="0.2">
      <c r="A46" s="1" t="s">
        <v>41</v>
      </c>
      <c r="B46" s="1"/>
      <c r="C46" s="2"/>
      <c r="D46" s="2"/>
      <c r="E46" s="2"/>
      <c r="F46" s="2"/>
      <c r="G46" s="2"/>
      <c r="H46" s="2"/>
      <c r="I46" s="2"/>
      <c r="J46" s="2"/>
      <c r="K46" s="2"/>
      <c r="L46" s="2"/>
      <c r="M46" s="2"/>
      <c r="N46" s="2"/>
    </row>
    <row r="47" spans="1:14" x14ac:dyDescent="0.2">
      <c r="A47" s="1" t="s">
        <v>42</v>
      </c>
      <c r="B47" s="1"/>
      <c r="C47" s="2"/>
      <c r="D47" s="2"/>
      <c r="E47" s="2"/>
      <c r="F47" s="2"/>
      <c r="G47" s="2"/>
      <c r="H47" s="2"/>
      <c r="I47" s="2"/>
      <c r="J47" s="2"/>
      <c r="K47" s="2"/>
      <c r="L47" s="2"/>
      <c r="M47" s="2"/>
      <c r="N47" s="2"/>
    </row>
    <row r="48" spans="1:14" x14ac:dyDescent="0.2">
      <c r="A48" s="1" t="s">
        <v>34</v>
      </c>
      <c r="B48" s="1"/>
      <c r="C48" s="2"/>
      <c r="D48" s="2"/>
      <c r="E48" s="2"/>
      <c r="F48" s="2"/>
      <c r="G48" s="2"/>
      <c r="H48" s="2"/>
      <c r="I48" s="2"/>
      <c r="J48" s="2"/>
      <c r="K48" s="2"/>
      <c r="L48" s="2"/>
      <c r="M48" s="2"/>
      <c r="N48" s="2"/>
    </row>
    <row r="49" spans="1:14" x14ac:dyDescent="0.2">
      <c r="A49" s="1" t="s">
        <v>43</v>
      </c>
      <c r="B49" s="1"/>
      <c r="C49" s="2"/>
      <c r="D49" s="2"/>
      <c r="E49" s="2"/>
      <c r="F49" s="2"/>
      <c r="G49" s="2"/>
      <c r="H49" s="2"/>
      <c r="I49" s="2"/>
      <c r="J49" s="2"/>
      <c r="K49" s="2"/>
      <c r="L49" s="2"/>
      <c r="M49" s="2"/>
      <c r="N49" s="2"/>
    </row>
    <row r="50" spans="1:14" x14ac:dyDescent="0.2">
      <c r="A50" s="1" t="s">
        <v>44</v>
      </c>
      <c r="B50" s="1"/>
      <c r="C50" s="2"/>
      <c r="D50" s="2"/>
      <c r="E50" s="2"/>
      <c r="F50" s="2"/>
      <c r="G50" s="2"/>
      <c r="H50" s="2"/>
      <c r="I50" s="2"/>
      <c r="J50" s="2"/>
      <c r="K50" s="2"/>
      <c r="L50" s="2"/>
      <c r="M50" s="2"/>
      <c r="N50" s="2"/>
    </row>
    <row r="51" spans="1:14" x14ac:dyDescent="0.2">
      <c r="A51" s="21" t="s">
        <v>26</v>
      </c>
      <c r="B51" s="1"/>
      <c r="C51" s="2"/>
      <c r="D51" s="2"/>
      <c r="E51" s="2"/>
      <c r="F51" s="2"/>
      <c r="G51" s="2"/>
      <c r="H51" s="2"/>
      <c r="I51" s="2"/>
      <c r="J51" s="2"/>
      <c r="K51" s="2"/>
      <c r="L51" s="2"/>
      <c r="M51" s="2"/>
      <c r="N51" s="2"/>
    </row>
    <row r="52" spans="1:14" x14ac:dyDescent="0.2">
      <c r="A52" s="22" t="s">
        <v>45</v>
      </c>
      <c r="B52" s="1"/>
      <c r="C52" s="2"/>
      <c r="D52" s="2"/>
      <c r="E52" s="2"/>
      <c r="F52" s="2"/>
      <c r="G52" s="2"/>
      <c r="H52" s="2"/>
      <c r="I52" s="2"/>
      <c r="J52" s="2"/>
      <c r="K52" s="2"/>
      <c r="L52" s="2"/>
      <c r="M52" s="2"/>
      <c r="N52" s="2"/>
    </row>
    <row r="53" spans="1:14" x14ac:dyDescent="0.2">
      <c r="A53" s="1" t="s">
        <v>27</v>
      </c>
      <c r="B53" s="1"/>
      <c r="C53" s="2"/>
      <c r="D53" s="2"/>
      <c r="E53" s="2"/>
      <c r="F53" s="2"/>
      <c r="G53" s="2"/>
      <c r="H53" s="2"/>
      <c r="I53" s="2"/>
      <c r="J53" s="2"/>
      <c r="K53" s="2"/>
      <c r="L53" s="2"/>
      <c r="M53" s="2"/>
      <c r="N53" s="2"/>
    </row>
    <row r="54" spans="1:14" x14ac:dyDescent="0.2">
      <c r="A54" s="1"/>
      <c r="B54" s="1"/>
      <c r="C54" s="2"/>
      <c r="D54" s="2"/>
      <c r="E54" s="2"/>
      <c r="F54" s="2"/>
      <c r="G54" s="2"/>
      <c r="H54" s="2"/>
      <c r="I54" s="2"/>
      <c r="J54" s="2"/>
      <c r="K54" s="2"/>
      <c r="L54" s="2"/>
      <c r="M54" s="2"/>
      <c r="N54" s="2"/>
    </row>
    <row r="55" spans="1:14" x14ac:dyDescent="0.2">
      <c r="A55" s="1" t="s">
        <v>46</v>
      </c>
      <c r="B55" s="1"/>
      <c r="C55" s="2"/>
      <c r="D55" s="2"/>
      <c r="E55" s="2"/>
      <c r="F55" s="2"/>
      <c r="G55" s="2"/>
      <c r="H55" s="2"/>
      <c r="I55" s="2"/>
      <c r="J55" s="2"/>
      <c r="K55" s="2"/>
      <c r="L55" s="2"/>
      <c r="M55" s="2"/>
      <c r="N55" s="2"/>
    </row>
    <row r="56" spans="1:14" x14ac:dyDescent="0.2">
      <c r="A56" s="1"/>
      <c r="B56" s="1"/>
      <c r="C56" s="2"/>
      <c r="D56" s="2"/>
      <c r="E56" s="2"/>
      <c r="F56" s="2"/>
      <c r="G56" s="2"/>
      <c r="H56" s="2"/>
      <c r="I56" s="2"/>
      <c r="J56" s="2"/>
      <c r="K56" s="2"/>
      <c r="L56" s="2"/>
      <c r="M56" s="2"/>
      <c r="N56" s="2"/>
    </row>
    <row r="57" spans="1:14" x14ac:dyDescent="0.2">
      <c r="A57" s="1" t="s">
        <v>19</v>
      </c>
      <c r="B57" s="1"/>
      <c r="C57" s="2"/>
      <c r="D57" s="2"/>
      <c r="E57" s="2"/>
      <c r="F57" s="2"/>
      <c r="G57" s="2"/>
      <c r="H57" s="2"/>
      <c r="I57" s="2"/>
      <c r="J57" s="2"/>
      <c r="K57" s="2"/>
      <c r="L57" s="2"/>
      <c r="M57" s="2"/>
      <c r="N57" s="2"/>
    </row>
  </sheetData>
  <mergeCells count="1">
    <mergeCell ref="E2:N2"/>
  </mergeCells>
  <phoneticPr fontId="0" type="noConversion"/>
  <pageMargins left="0.78740157499999996" right="0.78740157499999996" top="0.984251969" bottom="0.984251969" header="0.4921259845" footer="0.4921259845"/>
  <pageSetup paperSize="122" scale="50" orientation="portrait" verticalDpi="599"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ISQ</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stat1357</dc:creator>
  <cp:lastModifiedBy>Utilisateur Windows</cp:lastModifiedBy>
  <cp:lastPrinted>2017-03-13T15:18:26Z</cp:lastPrinted>
  <dcterms:created xsi:type="dcterms:W3CDTF">2014-02-04T21:06:05Z</dcterms:created>
  <dcterms:modified xsi:type="dcterms:W3CDTF">2021-06-03T21:02:44Z</dcterms:modified>
</cp:coreProperties>
</file>